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Net Worth Tracker" sheetId="2" state="visible" r:id="rId2"/>
    <sheet name="FIRE Calculato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%"/>
    <numFmt numFmtId="166" formatCode="0.0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color rgb="00CFEAF2"/>
      <sz val="12"/>
    </font>
    <font>
      <name val="Arial"/>
      <b val="1"/>
      <color rgb="000F2C4C"/>
      <sz val="20"/>
    </font>
    <font>
      <name val="Arial"/>
      <i val="1"/>
      <color rgb="000E7490"/>
      <sz val="11"/>
    </font>
    <font>
      <name val="Arial"/>
      <color rgb="00000000"/>
      <sz val="12"/>
    </font>
    <font>
      <name val="Arial"/>
      <b val="1"/>
      <color rgb="00FFFFFF"/>
      <sz val="13"/>
    </font>
    <font>
      <name val="Arial"/>
      <b val="1"/>
      <color rgb="00000000"/>
      <sz val="12"/>
    </font>
    <font>
      <name val="Arial"/>
      <b val="1"/>
      <color rgb="000000FF"/>
      <sz val="12"/>
    </font>
    <font>
      <name val="Arial"/>
      <i val="1"/>
      <color rgb="006D716F"/>
      <sz val="11"/>
    </font>
    <font>
      <name val="Arial"/>
      <b val="1"/>
      <color rgb="00FFFFFF"/>
      <sz val="12"/>
    </font>
    <font>
      <name val="Arial"/>
      <color rgb="000000FF"/>
      <sz val="12"/>
    </font>
    <font>
      <name val="Arial"/>
      <i val="1"/>
      <color rgb="000E7490"/>
      <sz val="12"/>
    </font>
    <font>
      <name val="Arial"/>
      <i val="1"/>
      <color rgb="006D716F"/>
      <sz val="12"/>
    </font>
  </fonts>
  <fills count="6">
    <fill>
      <patternFill/>
    </fill>
    <fill>
      <patternFill patternType="gray125"/>
    </fill>
    <fill>
      <patternFill patternType="solid">
        <fgColor rgb="000F2C4C"/>
      </patternFill>
    </fill>
    <fill>
      <patternFill patternType="solid">
        <fgColor rgb="000E7490"/>
      </patternFill>
    </fill>
    <fill>
      <patternFill patternType="solid">
        <fgColor rgb="00FFE9A8"/>
      </patternFill>
    </fill>
    <fill>
      <patternFill patternType="solid">
        <fgColor rgb="00E9F7F9"/>
      </patternFill>
    </fill>
  </fills>
  <borders count="2">
    <border>
      <left/>
      <right/>
      <top/>
      <bottom/>
      <diagonal/>
    </border>
    <border>
      <left style="thin">
        <color rgb="00D8D4CB"/>
      </left>
      <right style="thin">
        <color rgb="00D8D4CB"/>
      </right>
      <top style="thin">
        <color rgb="00D8D4CB"/>
      </top>
      <bottom style="thin">
        <color rgb="00D8D4CB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5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12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 wrapText="1"/>
    </xf>
    <xf numFmtId="0" fontId="6" fillId="3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10" fillId="2" borderId="0" applyAlignment="1" pivotButton="0" quotePrefix="0" xfId="0">
      <alignment horizontal="left" vertical="center"/>
    </xf>
    <xf numFmtId="0" fontId="10" fillId="2" borderId="0" applyAlignment="1" pivotButton="0" quotePrefix="0" xfId="0">
      <alignment horizontal="center" vertical="center"/>
    </xf>
    <xf numFmtId="0" fontId="7" fillId="5" borderId="0" applyAlignment="1" pivotButton="0" quotePrefix="0" xfId="0">
      <alignment horizontal="left" vertical="center"/>
    </xf>
    <xf numFmtId="164" fontId="11" fillId="0" borderId="0" applyAlignment="1" pivotButton="0" quotePrefix="0" xfId="0">
      <alignment horizontal="right"/>
    </xf>
    <xf numFmtId="164" fontId="7" fillId="5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left" vertical="center"/>
    </xf>
    <xf numFmtId="164" fontId="10" fillId="3" borderId="0" applyAlignment="1" pivotButton="0" quotePrefix="0" xfId="0">
      <alignment horizontal="right" vertical="center"/>
    </xf>
    <xf numFmtId="1" fontId="11" fillId="4" borderId="1" applyAlignment="1" pivotButton="0" quotePrefix="0" xfId="0">
      <alignment horizontal="right"/>
    </xf>
    <xf numFmtId="164" fontId="11" fillId="4" borderId="1" applyAlignment="1" pivotButton="0" quotePrefix="0" xfId="0">
      <alignment horizontal="right"/>
    </xf>
    <xf numFmtId="165" fontId="11" fillId="4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5" fontId="5" fillId="0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1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1" fontId="5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Net Worth Over Time</a:t>
            </a:r>
          </a:p>
        </rich>
      </tx>
    </title>
    <plotArea>
      <lineChart>
        <grouping val="standard"/>
        <ser>
          <idx val="0"/>
          <order val="0"/>
          <tx>
            <strRef>
              <f>'Net Worth Tracker'!A24</f>
            </strRef>
          </tx>
          <spPr>
            <a:ln w="30000">
              <a:solidFill>
                <a:srgbClr val="0E7490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'Net Worth Tracker'!$B$4:$M$4</f>
            </numRef>
          </cat>
          <val>
            <numRef>
              <f>'Net Worth Tracker'!$B$24:$M$24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$#,##0" sourceLinked="0"/>
        <majorTickMark val="out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Your Path to Financial Independence</a:t>
            </a:r>
          </a:p>
        </rich>
      </tx>
    </title>
    <plotArea>
      <lineChart>
        <grouping val="standard"/>
        <ser>
          <idx val="0"/>
          <order val="0"/>
          <tx>
            <strRef>
              <f>'FIRE Calculator'!F28</f>
            </strRef>
          </tx>
          <spPr>
            <a:ln w="30000">
              <a:solidFill>
                <a:srgbClr val="0E7490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'FIRE Calculator'!$A$29:$A$68</f>
            </numRef>
          </cat>
          <val>
            <numRef>
              <f>'FIRE Calculator'!$F$29:$F$68</f>
            </numRef>
          </val>
        </ser>
        <ser>
          <idx val="1"/>
          <order val="1"/>
          <tx>
            <strRef>
              <f>'FIRE Calculator'!G28</f>
            </strRef>
          </tx>
          <spPr>
            <a:ln>
              <a:solidFill>
                <a:srgbClr val="C08A2D"/>
              </a:solidFill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'FIRE Calculator'!$A$29:$A$68</f>
            </numRef>
          </cat>
          <val>
            <numRef>
              <f>'FIRE Calculator'!$G$29:$G$68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$#,##0" sourceLinked="0"/>
        <majorTickMark val="out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image" Target="/xl/media/image2.png" Id="rId2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2.xml" Id="rId1" /><Relationship Type="http://schemas.openxmlformats.org/officeDocument/2006/relationships/image" Target="/xl/media/image3.pn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76200</colOff>
      <row>0</row>
      <rowOff>47625</rowOff>
    </from>
    <ext cx="247650" cy="247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27</row>
      <rowOff>0</rowOff>
    </from>
    <ext cx="720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76200</colOff>
      <row>0</row>
      <rowOff>47625</rowOff>
    </from>
    <ext cx="247650" cy="24765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8</col>
      <colOff>0</colOff>
      <row>4</row>
      <rowOff>0</rowOff>
    </from>
    <ext cx="756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76200</colOff>
      <row>0</row>
      <rowOff>47625</rowOff>
    </from>
    <ext cx="247650" cy="24765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  <col width="2" customWidth="1" min="3" max="3"/>
  </cols>
  <sheetData>
    <row r="1" ht="34" customHeight="1">
      <c r="A1" s="1" t="inlineStr">
        <is>
          <t>The Road To Wealth</t>
        </is>
      </c>
      <c r="B1" s="2" t="n"/>
      <c r="C1" s="3" t="inlineStr">
        <is>
          <t>Practical wealth, one idea a week</t>
        </is>
      </c>
    </row>
    <row r="2">
      <c r="B2" s="4" t="inlineStr">
        <is>
          <t>The Financial Independence Starter Kit</t>
        </is>
      </c>
    </row>
    <row r="3">
      <c r="B3" s="5" t="inlineStr">
        <is>
          <t>by The Road To Wealth   ·   rtwuniversal.com</t>
        </is>
      </c>
    </row>
    <row r="4"/>
    <row r="5" ht="22" customHeight="1">
      <c r="B5" s="6" t="inlineStr">
        <is>
          <t>Two simple tools to see exactly where you stand — and how close you really are to financial independence.</t>
        </is>
      </c>
    </row>
    <row r="6"/>
    <row r="7">
      <c r="B7" s="7" t="inlineStr">
        <is>
          <t>WHAT'S INSIDE</t>
        </is>
      </c>
    </row>
    <row r="8">
      <c r="B8" s="6" t="inlineStr">
        <is>
          <t>1.  Net Worth Tracker  —  log your assets and debts each month and watch your net worth grow over time.</t>
        </is>
      </c>
    </row>
    <row r="9" ht="30" customHeight="1">
      <c r="B9" s="6" t="inlineStr">
        <is>
          <t>2.  FIRE Calculator  —  see your savings rate, your FIRE number, your Coast FIRE number, and the year you could reach financial independence.</t>
        </is>
      </c>
    </row>
    <row r="10"/>
    <row r="11">
      <c r="B11" s="7" t="inlineStr">
        <is>
          <t>HOW TO USE IT</t>
        </is>
      </c>
    </row>
    <row r="12">
      <c r="B12" s="8" t="inlineStr">
        <is>
          <t>•  Only edit the highlighted cells. Everything else calculates for you.</t>
        </is>
      </c>
    </row>
    <row r="13">
      <c r="B13" s="8" t="inlineStr">
        <is>
          <t>•  Update the Net Worth Tracker once a month — consistency is the whole point.</t>
        </is>
      </c>
    </row>
    <row r="14">
      <c r="B14" s="8" t="inlineStr">
        <is>
          <t>•  Revisit the FIRE Calculator whenever your income, savings, or spending changes.</t>
        </is>
      </c>
    </row>
    <row r="15">
      <c r="B15" s="8" t="inlineStr">
        <is>
          <t>•  Works in Excel, Google Sheets (File → Import), and Numbers.</t>
        </is>
      </c>
    </row>
    <row r="16"/>
    <row r="17">
      <c r="B17" s="7" t="inlineStr">
        <is>
          <t>LEGEND</t>
        </is>
      </c>
    </row>
    <row r="18">
      <c r="B18" s="9" t="inlineStr">
        <is>
          <t>Yellow highlight  —  cells for you to fill in</t>
        </is>
      </c>
    </row>
    <row r="19">
      <c r="B19" s="10" t="inlineStr">
        <is>
          <t>Blue text  —  numbers you enter</t>
        </is>
      </c>
    </row>
    <row r="20">
      <c r="B20" s="8" t="inlineStr">
        <is>
          <t>Black text  —  calculated for you (don't overwrite)</t>
        </is>
      </c>
    </row>
    <row r="21"/>
    <row r="22">
      <c r="B22" s="7" t="inlineStr">
        <is>
          <t>A NOTE ON HOME EQUITY</t>
        </is>
      </c>
    </row>
    <row r="23" ht="46" customHeight="1">
      <c r="B23" s="6" t="inlineStr">
        <is>
          <t>Enter your home's value under Assets and your mortgage under Liabilities. The difference between them — your home equity — is automatically included in your net worth. For the FIRE Calculator, your "invested assets" usually means investments and cash only, not home equity, since you still need somewhere to live.</t>
        </is>
      </c>
    </row>
    <row r="24"/>
    <row r="25"/>
    <row r="26">
      <c r="B26" s="5" t="inlineStr">
        <is>
          <t>One idea a week on building wealth and buying back your time  →  rtwuniversal.com</t>
        </is>
      </c>
    </row>
    <row r="27">
      <c r="B27" s="11" t="inlineStr">
        <is>
          <t>© 2026 RTW Universal LLC · General education, not financial or investment advice.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6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34" customHeight="1">
      <c r="A1" s="1" t="inlineStr">
        <is>
          <t>Net Worth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>The Road To Wealth</t>
        </is>
      </c>
    </row>
    <row r="2">
      <c r="A2" s="11" t="inlineStr">
        <is>
          <t>The blue numbers are a sample year — clear them and enter your own, then update once a month.</t>
        </is>
      </c>
    </row>
    <row r="3"/>
    <row r="4">
      <c r="A4" s="12" t="inlineStr">
        <is>
          <t>Account</t>
        </is>
      </c>
      <c r="B4" s="13" t="inlineStr">
        <is>
          <t>Jan 26</t>
        </is>
      </c>
      <c r="C4" s="13" t="inlineStr">
        <is>
          <t>Feb 26</t>
        </is>
      </c>
      <c r="D4" s="13" t="inlineStr">
        <is>
          <t>Mar 26</t>
        </is>
      </c>
      <c r="E4" s="13" t="inlineStr">
        <is>
          <t>Apr 26</t>
        </is>
      </c>
      <c r="F4" s="13" t="inlineStr">
        <is>
          <t>May 26</t>
        </is>
      </c>
      <c r="G4" s="13" t="inlineStr">
        <is>
          <t>Jun 26</t>
        </is>
      </c>
      <c r="H4" s="13" t="inlineStr">
        <is>
          <t>Jul 26</t>
        </is>
      </c>
      <c r="I4" s="13" t="inlineStr">
        <is>
          <t>Aug 26</t>
        </is>
      </c>
      <c r="J4" s="13" t="inlineStr">
        <is>
          <t>Sep 26</t>
        </is>
      </c>
      <c r="K4" s="13" t="inlineStr">
        <is>
          <t>Oct 26</t>
        </is>
      </c>
      <c r="L4" s="13" t="inlineStr">
        <is>
          <t>Nov 26</t>
        </is>
      </c>
      <c r="M4" s="13" t="inlineStr">
        <is>
          <t>Dec 26</t>
        </is>
      </c>
    </row>
    <row r="5">
      <c r="A5" s="14" t="inlineStr">
        <is>
          <t>ASSETS</t>
        </is>
      </c>
    </row>
    <row r="6">
      <c r="A6" s="8" t="inlineStr">
        <is>
          <t>Cash &amp; checking</t>
        </is>
      </c>
      <c r="B6" s="15" t="n">
        <v>3200</v>
      </c>
      <c r="C6" s="15" t="n">
        <v>3500</v>
      </c>
      <c r="D6" s="15" t="n">
        <v>3100</v>
      </c>
      <c r="E6" s="15" t="n">
        <v>3600</v>
      </c>
      <c r="F6" s="15" t="n">
        <v>3400</v>
      </c>
      <c r="G6" s="15" t="n">
        <v>3800</v>
      </c>
      <c r="H6" s="15" t="n">
        <v>3300</v>
      </c>
      <c r="I6" s="15" t="n">
        <v>3700</v>
      </c>
      <c r="J6" s="15" t="n">
        <v>3500</v>
      </c>
      <c r="K6" s="15" t="n">
        <v>3900</v>
      </c>
      <c r="L6" s="15" t="n">
        <v>3600</v>
      </c>
      <c r="M6" s="15" t="n">
        <v>4000</v>
      </c>
    </row>
    <row r="7">
      <c r="A7" s="8" t="inlineStr">
        <is>
          <t>Emergency fund / savings</t>
        </is>
      </c>
      <c r="B7" s="15" t="n">
        <v>12000</v>
      </c>
      <c r="C7" s="15" t="n">
        <v>12000</v>
      </c>
      <c r="D7" s="15" t="n">
        <v>12500</v>
      </c>
      <c r="E7" s="15" t="n">
        <v>12500</v>
      </c>
      <c r="F7" s="15" t="n">
        <v>13000</v>
      </c>
      <c r="G7" s="15" t="n">
        <v>13000</v>
      </c>
      <c r="H7" s="15" t="n">
        <v>13500</v>
      </c>
      <c r="I7" s="15" t="n">
        <v>13500</v>
      </c>
      <c r="J7" s="15" t="n">
        <v>14000</v>
      </c>
      <c r="K7" s="15" t="n">
        <v>14000</v>
      </c>
      <c r="L7" s="15" t="n">
        <v>14400</v>
      </c>
      <c r="M7" s="15" t="n">
        <v>14400</v>
      </c>
    </row>
    <row r="8">
      <c r="A8" s="8" t="inlineStr">
        <is>
          <t>Taxable brokerage</t>
        </is>
      </c>
      <c r="B8" s="15" t="n">
        <v>18500</v>
      </c>
      <c r="C8" s="15" t="n">
        <v>19200</v>
      </c>
      <c r="D8" s="15" t="n">
        <v>20400</v>
      </c>
      <c r="E8" s="15" t="n">
        <v>21100</v>
      </c>
      <c r="F8" s="15" t="n">
        <v>22300</v>
      </c>
      <c r="G8" s="15" t="n">
        <v>23000</v>
      </c>
      <c r="H8" s="15" t="n">
        <v>24200</v>
      </c>
      <c r="I8" s="15" t="n">
        <v>25100</v>
      </c>
      <c r="J8" s="15" t="n">
        <v>26000</v>
      </c>
      <c r="K8" s="15" t="n">
        <v>26800</v>
      </c>
      <c r="L8" s="15" t="n">
        <v>27500</v>
      </c>
      <c r="M8" s="15" t="n">
        <v>28600</v>
      </c>
    </row>
    <row r="9">
      <c r="A9" s="8" t="inlineStr">
        <is>
          <t>401(k) / 403(b)</t>
        </is>
      </c>
      <c r="B9" s="15" t="n">
        <v>46000</v>
      </c>
      <c r="C9" s="15" t="n">
        <v>47500</v>
      </c>
      <c r="D9" s="15" t="n">
        <v>49100</v>
      </c>
      <c r="E9" s="15" t="n">
        <v>50400</v>
      </c>
      <c r="F9" s="15" t="n">
        <v>52000</v>
      </c>
      <c r="G9" s="15" t="n">
        <v>53400</v>
      </c>
      <c r="H9" s="15" t="n">
        <v>55000</v>
      </c>
      <c r="I9" s="15" t="n">
        <v>56500</v>
      </c>
      <c r="J9" s="15" t="n">
        <v>58100</v>
      </c>
      <c r="K9" s="15" t="n">
        <v>59600</v>
      </c>
      <c r="L9" s="15" t="n">
        <v>61200</v>
      </c>
      <c r="M9" s="15" t="n">
        <v>62800</v>
      </c>
    </row>
    <row r="10">
      <c r="A10" s="8" t="inlineStr">
        <is>
          <t>IRA (Traditional / Roth)</t>
        </is>
      </c>
      <c r="B10" s="15" t="n">
        <v>21000</v>
      </c>
      <c r="C10" s="15" t="n">
        <v>21600</v>
      </c>
      <c r="D10" s="15" t="n">
        <v>22300</v>
      </c>
      <c r="E10" s="15" t="n">
        <v>22900</v>
      </c>
      <c r="F10" s="15" t="n">
        <v>23600</v>
      </c>
      <c r="G10" s="15" t="n">
        <v>24200</v>
      </c>
      <c r="H10" s="15" t="n">
        <v>24900</v>
      </c>
      <c r="I10" s="15" t="n">
        <v>25500</v>
      </c>
      <c r="J10" s="15" t="n">
        <v>26200</v>
      </c>
      <c r="K10" s="15" t="n">
        <v>26800</v>
      </c>
      <c r="L10" s="15" t="n">
        <v>27500</v>
      </c>
      <c r="M10" s="15" t="n">
        <v>28100</v>
      </c>
    </row>
    <row r="11">
      <c r="A11" s="8" t="inlineStr">
        <is>
          <t>HSA</t>
        </is>
      </c>
      <c r="B11" s="15" t="n">
        <v>4200</v>
      </c>
      <c r="C11" s="15" t="n">
        <v>4400</v>
      </c>
      <c r="D11" s="15" t="n">
        <v>4600</v>
      </c>
      <c r="E11" s="15" t="n">
        <v>4800</v>
      </c>
      <c r="F11" s="15" t="n">
        <v>5000</v>
      </c>
      <c r="G11" s="15" t="n">
        <v>5200</v>
      </c>
      <c r="H11" s="15" t="n">
        <v>5400</v>
      </c>
      <c r="I11" s="15" t="n">
        <v>5600</v>
      </c>
      <c r="J11" s="15" t="n">
        <v>5800</v>
      </c>
      <c r="K11" s="15" t="n">
        <v>6000</v>
      </c>
      <c r="L11" s="15" t="n">
        <v>6200</v>
      </c>
      <c r="M11" s="15" t="n">
        <v>6400</v>
      </c>
    </row>
    <row r="12">
      <c r="A12" s="8" t="inlineStr">
        <is>
          <t>Home / real estate</t>
        </is>
      </c>
      <c r="B12" s="15" t="n">
        <v>318000</v>
      </c>
      <c r="C12" s="15" t="n">
        <v>318000</v>
      </c>
      <c r="D12" s="15" t="n">
        <v>319000</v>
      </c>
      <c r="E12" s="15" t="n">
        <v>319000</v>
      </c>
      <c r="F12" s="15" t="n">
        <v>320000</v>
      </c>
      <c r="G12" s="15" t="n">
        <v>320000</v>
      </c>
      <c r="H12" s="15" t="n">
        <v>321000</v>
      </c>
      <c r="I12" s="15" t="n">
        <v>321000</v>
      </c>
      <c r="J12" s="15" t="n">
        <v>322000</v>
      </c>
      <c r="K12" s="15" t="n">
        <v>322000</v>
      </c>
      <c r="L12" s="15" t="n">
        <v>323000</v>
      </c>
      <c r="M12" s="15" t="n">
        <v>323000</v>
      </c>
    </row>
    <row r="13">
      <c r="A13" s="8" t="inlineStr">
        <is>
          <t>Other assets</t>
        </is>
      </c>
      <c r="B13" s="15" t="n">
        <v>0</v>
      </c>
      <c r="C13" s="15" t="n">
        <v>0</v>
      </c>
      <c r="D13" s="15" t="n">
        <v>0</v>
      </c>
      <c r="E13" s="15" t="n">
        <v>0</v>
      </c>
      <c r="F13" s="15" t="n">
        <v>0</v>
      </c>
      <c r="G13" s="15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</row>
    <row r="14">
      <c r="A14" s="14" t="inlineStr">
        <is>
          <t>Total Assets</t>
        </is>
      </c>
      <c r="B14" s="16">
        <f>SUM(B6:B13)</f>
        <v/>
      </c>
      <c r="C14" s="16">
        <f>SUM(C6:C13)</f>
        <v/>
      </c>
      <c r="D14" s="16">
        <f>SUM(D6:D13)</f>
        <v/>
      </c>
      <c r="E14" s="16">
        <f>SUM(E6:E13)</f>
        <v/>
      </c>
      <c r="F14" s="16">
        <f>SUM(F6:F13)</f>
        <v/>
      </c>
      <c r="G14" s="16">
        <f>SUM(G6:G13)</f>
        <v/>
      </c>
      <c r="H14" s="16">
        <f>SUM(H6:H13)</f>
        <v/>
      </c>
      <c r="I14" s="16">
        <f>SUM(I6:I13)</f>
        <v/>
      </c>
      <c r="J14" s="16">
        <f>SUM(J6:J13)</f>
        <v/>
      </c>
      <c r="K14" s="16">
        <f>SUM(K6:K13)</f>
        <v/>
      </c>
      <c r="L14" s="16">
        <f>SUM(L6:L13)</f>
        <v/>
      </c>
      <c r="M14" s="16">
        <f>SUM(M6:M13)</f>
        <v/>
      </c>
    </row>
    <row r="15"/>
    <row r="16">
      <c r="A16" s="14" t="inlineStr">
        <is>
          <t>LIABILITIES</t>
        </is>
      </c>
    </row>
    <row r="17">
      <c r="A17" s="8" t="inlineStr">
        <is>
          <t>Mortgage</t>
        </is>
      </c>
      <c r="B17" s="15" t="n">
        <v>245000</v>
      </c>
      <c r="C17" s="15" t="n">
        <v>244300</v>
      </c>
      <c r="D17" s="15" t="n">
        <v>243600</v>
      </c>
      <c r="E17" s="15" t="n">
        <v>242900</v>
      </c>
      <c r="F17" s="15" t="n">
        <v>242200</v>
      </c>
      <c r="G17" s="15" t="n">
        <v>241500</v>
      </c>
      <c r="H17" s="15" t="n">
        <v>240800</v>
      </c>
      <c r="I17" s="15" t="n">
        <v>240100</v>
      </c>
      <c r="J17" s="15" t="n">
        <v>239400</v>
      </c>
      <c r="K17" s="15" t="n">
        <v>238700</v>
      </c>
      <c r="L17" s="15" t="n">
        <v>238000</v>
      </c>
      <c r="M17" s="15" t="n">
        <v>237300</v>
      </c>
    </row>
    <row r="18">
      <c r="A18" s="8" t="inlineStr">
        <is>
          <t>Student loans</t>
        </is>
      </c>
      <c r="B18" s="15" t="n">
        <v>14000</v>
      </c>
      <c r="C18" s="15" t="n">
        <v>13700</v>
      </c>
      <c r="D18" s="15" t="n">
        <v>13400</v>
      </c>
      <c r="E18" s="15" t="n">
        <v>13100</v>
      </c>
      <c r="F18" s="15" t="n">
        <v>12800</v>
      </c>
      <c r="G18" s="15" t="n">
        <v>12500</v>
      </c>
      <c r="H18" s="15" t="n">
        <v>12200</v>
      </c>
      <c r="I18" s="15" t="n">
        <v>11900</v>
      </c>
      <c r="J18" s="15" t="n">
        <v>11600</v>
      </c>
      <c r="K18" s="15" t="n">
        <v>11300</v>
      </c>
      <c r="L18" s="15" t="n">
        <v>11000</v>
      </c>
      <c r="M18" s="15" t="n">
        <v>10700</v>
      </c>
    </row>
    <row r="19">
      <c r="A19" s="8" t="inlineStr">
        <is>
          <t>Auto loan</t>
        </is>
      </c>
      <c r="B19" s="15" t="n">
        <v>18000</v>
      </c>
      <c r="C19" s="15" t="n">
        <v>17600</v>
      </c>
      <c r="D19" s="15" t="n">
        <v>17200</v>
      </c>
      <c r="E19" s="15" t="n">
        <v>16800</v>
      </c>
      <c r="F19" s="15" t="n">
        <v>16400</v>
      </c>
      <c r="G19" s="15" t="n">
        <v>16000</v>
      </c>
      <c r="H19" s="15" t="n">
        <v>15600</v>
      </c>
      <c r="I19" s="15" t="n">
        <v>15200</v>
      </c>
      <c r="J19" s="15" t="n">
        <v>14800</v>
      </c>
      <c r="K19" s="15" t="n">
        <v>14400</v>
      </c>
      <c r="L19" s="15" t="n">
        <v>14000</v>
      </c>
      <c r="M19" s="15" t="n">
        <v>13600</v>
      </c>
    </row>
    <row r="20">
      <c r="A20" s="8" t="inlineStr">
        <is>
          <t>Credit card debt</t>
        </is>
      </c>
      <c r="B20" s="15" t="n">
        <v>1800</v>
      </c>
      <c r="C20" s="15" t="n">
        <v>900</v>
      </c>
      <c r="D20" s="15" t="n">
        <v>0</v>
      </c>
      <c r="E20" s="15" t="n">
        <v>0</v>
      </c>
      <c r="F20" s="15" t="n">
        <v>0</v>
      </c>
      <c r="G20" s="15" t="n">
        <v>0</v>
      </c>
      <c r="H20" s="15" t="n">
        <v>0</v>
      </c>
      <c r="I20" s="15" t="n">
        <v>0</v>
      </c>
      <c r="J20" s="15" t="n">
        <v>0</v>
      </c>
      <c r="K20" s="15" t="n">
        <v>0</v>
      </c>
      <c r="L20" s="15" t="n">
        <v>0</v>
      </c>
      <c r="M20" s="15" t="n">
        <v>0</v>
      </c>
    </row>
    <row r="21">
      <c r="A21" s="8" t="inlineStr">
        <is>
          <t>Other debt</t>
        </is>
      </c>
      <c r="B21" s="15" t="n">
        <v>0</v>
      </c>
      <c r="C21" s="15" t="n">
        <v>0</v>
      </c>
      <c r="D21" s="15" t="n">
        <v>0</v>
      </c>
      <c r="E21" s="15" t="n">
        <v>0</v>
      </c>
      <c r="F21" s="15" t="n">
        <v>0</v>
      </c>
      <c r="G21" s="15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</row>
    <row r="22">
      <c r="A22" s="14" t="inlineStr">
        <is>
          <t>Total Liabilities</t>
        </is>
      </c>
      <c r="B22" s="16">
        <f>SUM(B17:B21)</f>
        <v/>
      </c>
      <c r="C22" s="16">
        <f>SUM(C17:C21)</f>
        <v/>
      </c>
      <c r="D22" s="16">
        <f>SUM(D17:D21)</f>
        <v/>
      </c>
      <c r="E22" s="16">
        <f>SUM(E17:E21)</f>
        <v/>
      </c>
      <c r="F22" s="16">
        <f>SUM(F17:F21)</f>
        <v/>
      </c>
      <c r="G22" s="16">
        <f>SUM(G17:G21)</f>
        <v/>
      </c>
      <c r="H22" s="16">
        <f>SUM(H17:H21)</f>
        <v/>
      </c>
      <c r="I22" s="16">
        <f>SUM(I17:I21)</f>
        <v/>
      </c>
      <c r="J22" s="16">
        <f>SUM(J17:J21)</f>
        <v/>
      </c>
      <c r="K22" s="16">
        <f>SUM(K17:K21)</f>
        <v/>
      </c>
      <c r="L22" s="16">
        <f>SUM(L17:L21)</f>
        <v/>
      </c>
      <c r="M22" s="16">
        <f>SUM(M17:M21)</f>
        <v/>
      </c>
    </row>
    <row r="23"/>
    <row r="24">
      <c r="A24" s="17" t="inlineStr">
        <is>
          <t>NET WORTH</t>
        </is>
      </c>
      <c r="B24" s="18">
        <f>B14-B22</f>
        <v/>
      </c>
      <c r="C24" s="18">
        <f>C14-C22</f>
        <v/>
      </c>
      <c r="D24" s="18">
        <f>D14-D22</f>
        <v/>
      </c>
      <c r="E24" s="18">
        <f>E14-E22</f>
        <v/>
      </c>
      <c r="F24" s="18">
        <f>F14-F22</f>
        <v/>
      </c>
      <c r="G24" s="18">
        <f>G14-G22</f>
        <v/>
      </c>
      <c r="H24" s="18">
        <f>H14-H22</f>
        <v/>
      </c>
      <c r="I24" s="18">
        <f>I14-I22</f>
        <v/>
      </c>
      <c r="J24" s="18">
        <f>J14-J22</f>
        <v/>
      </c>
      <c r="K24" s="18">
        <f>K14-K22</f>
        <v/>
      </c>
      <c r="L24" s="18">
        <f>L14-L22</f>
        <v/>
      </c>
      <c r="M24" s="18">
        <f>M14-M22</f>
        <v/>
      </c>
    </row>
    <row r="25"/>
    <row r="26">
      <c r="A26" s="11" t="inlineStr">
        <is>
          <t>Note: home value (asset) − mortgage (liability) = your home equity, already reflected in Net Worth above.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4" customHeight="1">
      <c r="A1" s="1" t="inlineStr">
        <is>
          <t>FIRE Calculator</t>
        </is>
      </c>
      <c r="B1" s="2" t="n"/>
      <c r="C1" s="2" t="n"/>
      <c r="D1" s="2" t="n"/>
      <c r="E1" s="2" t="n"/>
      <c r="F1" s="2" t="n"/>
      <c r="G1" s="3" t="inlineStr">
        <is>
          <t>The Road To Wealth</t>
        </is>
      </c>
    </row>
    <row r="2">
      <c r="A2" s="11" t="inlineStr">
        <is>
          <t>Fill in the yellow cells. Everything below updates automatically.</t>
        </is>
      </c>
    </row>
    <row r="3"/>
    <row r="4">
      <c r="A4" s="17" t="inlineStr">
        <is>
          <t>YOUR NUMBERS</t>
        </is>
      </c>
      <c r="B4" s="17" t="inlineStr"/>
    </row>
    <row r="5">
      <c r="A5" s="8" t="inlineStr">
        <is>
          <t>Current age</t>
        </is>
      </c>
      <c r="B5" s="19" t="n">
        <v>32</v>
      </c>
    </row>
    <row r="6">
      <c r="A6" s="8" t="inlineStr">
        <is>
          <t>Current invested assets (excl. home)</t>
        </is>
      </c>
      <c r="B6" s="20" t="n">
        <v>95000</v>
      </c>
    </row>
    <row r="7">
      <c r="A7" s="8" t="inlineStr">
        <is>
          <t>Annual take-home income</t>
        </is>
      </c>
      <c r="B7" s="20" t="n">
        <v>78000</v>
      </c>
    </row>
    <row r="8">
      <c r="A8" s="8" t="inlineStr">
        <is>
          <t>Annual expenses</t>
        </is>
      </c>
      <c r="B8" s="20" t="n">
        <v>52000</v>
      </c>
    </row>
    <row r="9">
      <c r="A9" s="8" t="inlineStr">
        <is>
          <t>Expected annual return</t>
        </is>
      </c>
      <c r="B9" s="21" t="n">
        <v>0.07000000000000001</v>
      </c>
    </row>
    <row r="10">
      <c r="A10" s="8" t="inlineStr">
        <is>
          <t>Safe withdrawal rate</t>
        </is>
      </c>
      <c r="B10" s="21" t="n">
        <v>0.04</v>
      </c>
    </row>
    <row r="11">
      <c r="A11" s="8" t="inlineStr">
        <is>
          <t>Expected annual spending in FI</t>
        </is>
      </c>
      <c r="B11" s="20" t="n">
        <v>52000</v>
      </c>
    </row>
    <row r="12">
      <c r="A12" s="8" t="inlineStr">
        <is>
          <t>Traditional retirement age (for Coast FIRE)</t>
        </is>
      </c>
      <c r="B12" s="19" t="n">
        <v>65</v>
      </c>
    </row>
    <row r="13"/>
    <row r="14">
      <c r="A14" s="17" t="inlineStr">
        <is>
          <t>YOUR RESULTS</t>
        </is>
      </c>
      <c r="B14" s="17" t="inlineStr"/>
    </row>
    <row r="15">
      <c r="A15" s="8" t="inlineStr">
        <is>
          <t>Annual savings</t>
        </is>
      </c>
      <c r="B15" s="22">
        <f>B7-B8</f>
        <v/>
      </c>
    </row>
    <row r="16">
      <c r="A16" s="8" t="inlineStr">
        <is>
          <t>Savings rate</t>
        </is>
      </c>
      <c r="B16" s="23">
        <f>IFERROR((B7-B8)/B7,0)</f>
        <v/>
      </c>
    </row>
    <row r="17">
      <c r="A17" s="14" t="inlineStr">
        <is>
          <t>Your FIRE number</t>
        </is>
      </c>
      <c r="B17" s="24">
        <f>B11/B10</f>
        <v/>
      </c>
    </row>
    <row r="18">
      <c r="A18" s="8" t="inlineStr">
        <is>
          <t>Progress to FIRE</t>
        </is>
      </c>
      <c r="B18" s="23">
        <f>IFERROR(B6/(B11/B10),0)</f>
        <v/>
      </c>
    </row>
    <row r="19">
      <c r="A19" s="8" t="inlineStr">
        <is>
          <t>Still needed</t>
        </is>
      </c>
      <c r="B19" s="22">
        <f>MAX(0,(B11/B10)-B6)</f>
        <v/>
      </c>
    </row>
    <row r="20">
      <c r="A20" s="14" t="inlineStr">
        <is>
          <t>Years to Financial Independence</t>
        </is>
      </c>
      <c r="B20" s="25">
        <f>IFERROR(NPER(B9,-(B7-B8),-B6,(B11/B10)),"—")</f>
        <v/>
      </c>
    </row>
    <row r="21">
      <c r="A21" s="8" t="inlineStr">
        <is>
          <t>Age at Financial Independence</t>
        </is>
      </c>
      <c r="B21" s="26">
        <f>IF(ISNUMBER(B20),B5+B20,"—")</f>
        <v/>
      </c>
    </row>
    <row r="22">
      <c r="A22" s="8" t="inlineStr">
        <is>
          <t>Target year</t>
        </is>
      </c>
      <c r="B22" s="26">
        <f>IF(ISNUMBER(B20),YEAR(TODAY())+ROUNDUP(B20,0),"—")</f>
        <v/>
      </c>
    </row>
    <row r="23">
      <c r="A23" s="14" t="inlineStr">
        <is>
          <t>Coast FIRE number</t>
        </is>
      </c>
      <c r="B23" s="24">
        <f>IFERROR((B11/B10)/((1+B9)^(B12-B5)),0)</f>
        <v/>
      </c>
    </row>
    <row r="24">
      <c r="A24" s="8" t="inlineStr">
        <is>
          <t>Coast FIRE status</t>
        </is>
      </c>
      <c r="B24" s="27">
        <f>IF(B6&gt;=B23,"Reached — you could stop adding and still hit your number by retirement","Not yet — keep investing")</f>
        <v/>
      </c>
    </row>
    <row r="25">
      <c r="A25" s="11" t="inlineStr">
        <is>
          <t>Coast FIRE = the amount that, invested today, grows to your FIRE number by your retirement age with no further saving.</t>
        </is>
      </c>
    </row>
    <row r="26"/>
    <row r="27">
      <c r="A27" s="17" t="inlineStr">
        <is>
          <t>PROJECTION — how your invested assets could grow</t>
        </is>
      </c>
      <c r="B27" s="17" t="inlineStr"/>
      <c r="C27" s="17" t="inlineStr"/>
      <c r="D27" s="17" t="inlineStr"/>
      <c r="E27" s="17" t="inlineStr"/>
      <c r="F27" s="17" t="inlineStr"/>
      <c r="G27" s="17" t="inlineStr"/>
    </row>
    <row r="28">
      <c r="A28" s="13" t="inlineStr">
        <is>
          <t>Year</t>
        </is>
      </c>
      <c r="B28" s="13" t="inlineStr">
        <is>
          <t>Age</t>
        </is>
      </c>
      <c r="C28" s="13" t="inlineStr">
        <is>
          <t>Start balance</t>
        </is>
      </c>
      <c r="D28" s="13" t="inlineStr">
        <is>
          <t>+ Savings</t>
        </is>
      </c>
      <c r="E28" s="13" t="inlineStr">
        <is>
          <t>+ Growth</t>
        </is>
      </c>
      <c r="F28" s="13" t="inlineStr">
        <is>
          <t>End balance</t>
        </is>
      </c>
      <c r="G28" s="13" t="inlineStr">
        <is>
          <t>FIRE number</t>
        </is>
      </c>
    </row>
    <row r="29">
      <c r="A29" s="28">
        <f>YEAR(TODAY())+0</f>
        <v/>
      </c>
      <c r="B29" s="28">
        <f>B5+0</f>
        <v/>
      </c>
      <c r="C29" s="29">
        <f>B6</f>
        <v/>
      </c>
      <c r="D29" s="29">
        <f>B15</f>
        <v/>
      </c>
      <c r="E29" s="29">
        <f>C29*B9</f>
        <v/>
      </c>
      <c r="F29" s="29">
        <f>C29+D29+E29</f>
        <v/>
      </c>
      <c r="G29" s="29">
        <f>B17</f>
        <v/>
      </c>
    </row>
    <row r="30">
      <c r="A30" s="28">
        <f>YEAR(TODAY())+1</f>
        <v/>
      </c>
      <c r="B30" s="28">
        <f>B5+1</f>
        <v/>
      </c>
      <c r="C30" s="29">
        <f>F29</f>
        <v/>
      </c>
      <c r="D30" s="29">
        <f>B15</f>
        <v/>
      </c>
      <c r="E30" s="29">
        <f>C30*B9</f>
        <v/>
      </c>
      <c r="F30" s="29">
        <f>C30+D30+E30</f>
        <v/>
      </c>
      <c r="G30" s="29">
        <f>B17</f>
        <v/>
      </c>
    </row>
    <row r="31">
      <c r="A31" s="28">
        <f>YEAR(TODAY())+2</f>
        <v/>
      </c>
      <c r="B31" s="28">
        <f>B5+2</f>
        <v/>
      </c>
      <c r="C31" s="29">
        <f>F30</f>
        <v/>
      </c>
      <c r="D31" s="29">
        <f>B15</f>
        <v/>
      </c>
      <c r="E31" s="29">
        <f>C31*B9</f>
        <v/>
      </c>
      <c r="F31" s="29">
        <f>C31+D31+E31</f>
        <v/>
      </c>
      <c r="G31" s="29">
        <f>B17</f>
        <v/>
      </c>
    </row>
    <row r="32">
      <c r="A32" s="28">
        <f>YEAR(TODAY())+3</f>
        <v/>
      </c>
      <c r="B32" s="28">
        <f>B5+3</f>
        <v/>
      </c>
      <c r="C32" s="29">
        <f>F31</f>
        <v/>
      </c>
      <c r="D32" s="29">
        <f>B15</f>
        <v/>
      </c>
      <c r="E32" s="29">
        <f>C32*B9</f>
        <v/>
      </c>
      <c r="F32" s="29">
        <f>C32+D32+E32</f>
        <v/>
      </c>
      <c r="G32" s="29">
        <f>B17</f>
        <v/>
      </c>
    </row>
    <row r="33">
      <c r="A33" s="28">
        <f>YEAR(TODAY())+4</f>
        <v/>
      </c>
      <c r="B33" s="28">
        <f>B5+4</f>
        <v/>
      </c>
      <c r="C33" s="29">
        <f>F32</f>
        <v/>
      </c>
      <c r="D33" s="29">
        <f>B15</f>
        <v/>
      </c>
      <c r="E33" s="29">
        <f>C33*B9</f>
        <v/>
      </c>
      <c r="F33" s="29">
        <f>C33+D33+E33</f>
        <v/>
      </c>
      <c r="G33" s="29">
        <f>B17</f>
        <v/>
      </c>
    </row>
    <row r="34">
      <c r="A34" s="28">
        <f>YEAR(TODAY())+5</f>
        <v/>
      </c>
      <c r="B34" s="28">
        <f>B5+5</f>
        <v/>
      </c>
      <c r="C34" s="29">
        <f>F33</f>
        <v/>
      </c>
      <c r="D34" s="29">
        <f>B15</f>
        <v/>
      </c>
      <c r="E34" s="29">
        <f>C34*B9</f>
        <v/>
      </c>
      <c r="F34" s="29">
        <f>C34+D34+E34</f>
        <v/>
      </c>
      <c r="G34" s="29">
        <f>B17</f>
        <v/>
      </c>
    </row>
    <row r="35">
      <c r="A35" s="28">
        <f>YEAR(TODAY())+6</f>
        <v/>
      </c>
      <c r="B35" s="28">
        <f>B5+6</f>
        <v/>
      </c>
      <c r="C35" s="29">
        <f>F34</f>
        <v/>
      </c>
      <c r="D35" s="29">
        <f>B15</f>
        <v/>
      </c>
      <c r="E35" s="29">
        <f>C35*B9</f>
        <v/>
      </c>
      <c r="F35" s="29">
        <f>C35+D35+E35</f>
        <v/>
      </c>
      <c r="G35" s="29">
        <f>B17</f>
        <v/>
      </c>
    </row>
    <row r="36">
      <c r="A36" s="28">
        <f>YEAR(TODAY())+7</f>
        <v/>
      </c>
      <c r="B36" s="28">
        <f>B5+7</f>
        <v/>
      </c>
      <c r="C36" s="29">
        <f>F35</f>
        <v/>
      </c>
      <c r="D36" s="29">
        <f>B15</f>
        <v/>
      </c>
      <c r="E36" s="29">
        <f>C36*B9</f>
        <v/>
      </c>
      <c r="F36" s="29">
        <f>C36+D36+E36</f>
        <v/>
      </c>
      <c r="G36" s="29">
        <f>B17</f>
        <v/>
      </c>
    </row>
    <row r="37">
      <c r="A37" s="28">
        <f>YEAR(TODAY())+8</f>
        <v/>
      </c>
      <c r="B37" s="28">
        <f>B5+8</f>
        <v/>
      </c>
      <c r="C37" s="29">
        <f>F36</f>
        <v/>
      </c>
      <c r="D37" s="29">
        <f>B15</f>
        <v/>
      </c>
      <c r="E37" s="29">
        <f>C37*B9</f>
        <v/>
      </c>
      <c r="F37" s="29">
        <f>C37+D37+E37</f>
        <v/>
      </c>
      <c r="G37" s="29">
        <f>B17</f>
        <v/>
      </c>
    </row>
    <row r="38">
      <c r="A38" s="28">
        <f>YEAR(TODAY())+9</f>
        <v/>
      </c>
      <c r="B38" s="28">
        <f>B5+9</f>
        <v/>
      </c>
      <c r="C38" s="29">
        <f>F37</f>
        <v/>
      </c>
      <c r="D38" s="29">
        <f>B15</f>
        <v/>
      </c>
      <c r="E38" s="29">
        <f>C38*B9</f>
        <v/>
      </c>
      <c r="F38" s="29">
        <f>C38+D38+E38</f>
        <v/>
      </c>
      <c r="G38" s="29">
        <f>B17</f>
        <v/>
      </c>
    </row>
    <row r="39">
      <c r="A39" s="28">
        <f>YEAR(TODAY())+10</f>
        <v/>
      </c>
      <c r="B39" s="28">
        <f>B5+10</f>
        <v/>
      </c>
      <c r="C39" s="29">
        <f>F38</f>
        <v/>
      </c>
      <c r="D39" s="29">
        <f>B15</f>
        <v/>
      </c>
      <c r="E39" s="29">
        <f>C39*B9</f>
        <v/>
      </c>
      <c r="F39" s="29">
        <f>C39+D39+E39</f>
        <v/>
      </c>
      <c r="G39" s="29">
        <f>B17</f>
        <v/>
      </c>
    </row>
    <row r="40">
      <c r="A40" s="28">
        <f>YEAR(TODAY())+11</f>
        <v/>
      </c>
      <c r="B40" s="28">
        <f>B5+11</f>
        <v/>
      </c>
      <c r="C40" s="29">
        <f>F39</f>
        <v/>
      </c>
      <c r="D40" s="29">
        <f>B15</f>
        <v/>
      </c>
      <c r="E40" s="29">
        <f>C40*B9</f>
        <v/>
      </c>
      <c r="F40" s="29">
        <f>C40+D40+E40</f>
        <v/>
      </c>
      <c r="G40" s="29">
        <f>B17</f>
        <v/>
      </c>
    </row>
    <row r="41">
      <c r="A41" s="28">
        <f>YEAR(TODAY())+12</f>
        <v/>
      </c>
      <c r="B41" s="28">
        <f>B5+12</f>
        <v/>
      </c>
      <c r="C41" s="29">
        <f>F40</f>
        <v/>
      </c>
      <c r="D41" s="29">
        <f>B15</f>
        <v/>
      </c>
      <c r="E41" s="29">
        <f>C41*B9</f>
        <v/>
      </c>
      <c r="F41" s="29">
        <f>C41+D41+E41</f>
        <v/>
      </c>
      <c r="G41" s="29">
        <f>B17</f>
        <v/>
      </c>
    </row>
    <row r="42">
      <c r="A42" s="28">
        <f>YEAR(TODAY())+13</f>
        <v/>
      </c>
      <c r="B42" s="28">
        <f>B5+13</f>
        <v/>
      </c>
      <c r="C42" s="29">
        <f>F41</f>
        <v/>
      </c>
      <c r="D42" s="29">
        <f>B15</f>
        <v/>
      </c>
      <c r="E42" s="29">
        <f>C42*B9</f>
        <v/>
      </c>
      <c r="F42" s="29">
        <f>C42+D42+E42</f>
        <v/>
      </c>
      <c r="G42" s="29">
        <f>B17</f>
        <v/>
      </c>
    </row>
    <row r="43">
      <c r="A43" s="28">
        <f>YEAR(TODAY())+14</f>
        <v/>
      </c>
      <c r="B43" s="28">
        <f>B5+14</f>
        <v/>
      </c>
      <c r="C43" s="29">
        <f>F42</f>
        <v/>
      </c>
      <c r="D43" s="29">
        <f>B15</f>
        <v/>
      </c>
      <c r="E43" s="29">
        <f>C43*B9</f>
        <v/>
      </c>
      <c r="F43" s="29">
        <f>C43+D43+E43</f>
        <v/>
      </c>
      <c r="G43" s="29">
        <f>B17</f>
        <v/>
      </c>
    </row>
    <row r="44">
      <c r="A44" s="28">
        <f>YEAR(TODAY())+15</f>
        <v/>
      </c>
      <c r="B44" s="28">
        <f>B5+15</f>
        <v/>
      </c>
      <c r="C44" s="29">
        <f>F43</f>
        <v/>
      </c>
      <c r="D44" s="29">
        <f>B15</f>
        <v/>
      </c>
      <c r="E44" s="29">
        <f>C44*B9</f>
        <v/>
      </c>
      <c r="F44" s="29">
        <f>C44+D44+E44</f>
        <v/>
      </c>
      <c r="G44" s="29">
        <f>B17</f>
        <v/>
      </c>
    </row>
    <row r="45">
      <c r="A45" s="28">
        <f>YEAR(TODAY())+16</f>
        <v/>
      </c>
      <c r="B45" s="28">
        <f>B5+16</f>
        <v/>
      </c>
      <c r="C45" s="29">
        <f>F44</f>
        <v/>
      </c>
      <c r="D45" s="29">
        <f>B15</f>
        <v/>
      </c>
      <c r="E45" s="29">
        <f>C45*B9</f>
        <v/>
      </c>
      <c r="F45" s="29">
        <f>C45+D45+E45</f>
        <v/>
      </c>
      <c r="G45" s="29">
        <f>B17</f>
        <v/>
      </c>
    </row>
    <row r="46">
      <c r="A46" s="28">
        <f>YEAR(TODAY())+17</f>
        <v/>
      </c>
      <c r="B46" s="28">
        <f>B5+17</f>
        <v/>
      </c>
      <c r="C46" s="29">
        <f>F45</f>
        <v/>
      </c>
      <c r="D46" s="29">
        <f>B15</f>
        <v/>
      </c>
      <c r="E46" s="29">
        <f>C46*B9</f>
        <v/>
      </c>
      <c r="F46" s="29">
        <f>C46+D46+E46</f>
        <v/>
      </c>
      <c r="G46" s="29">
        <f>B17</f>
        <v/>
      </c>
    </row>
    <row r="47">
      <c r="A47" s="28">
        <f>YEAR(TODAY())+18</f>
        <v/>
      </c>
      <c r="B47" s="28">
        <f>B5+18</f>
        <v/>
      </c>
      <c r="C47" s="29">
        <f>F46</f>
        <v/>
      </c>
      <c r="D47" s="29">
        <f>B15</f>
        <v/>
      </c>
      <c r="E47" s="29">
        <f>C47*B9</f>
        <v/>
      </c>
      <c r="F47" s="29">
        <f>C47+D47+E47</f>
        <v/>
      </c>
      <c r="G47" s="29">
        <f>B17</f>
        <v/>
      </c>
    </row>
    <row r="48">
      <c r="A48" s="28">
        <f>YEAR(TODAY())+19</f>
        <v/>
      </c>
      <c r="B48" s="28">
        <f>B5+19</f>
        <v/>
      </c>
      <c r="C48" s="29">
        <f>F47</f>
        <v/>
      </c>
      <c r="D48" s="29">
        <f>B15</f>
        <v/>
      </c>
      <c r="E48" s="29">
        <f>C48*B9</f>
        <v/>
      </c>
      <c r="F48" s="29">
        <f>C48+D48+E48</f>
        <v/>
      </c>
      <c r="G48" s="29">
        <f>B17</f>
        <v/>
      </c>
    </row>
    <row r="49">
      <c r="A49" s="28">
        <f>YEAR(TODAY())+20</f>
        <v/>
      </c>
      <c r="B49" s="28">
        <f>B5+20</f>
        <v/>
      </c>
      <c r="C49" s="29">
        <f>F48</f>
        <v/>
      </c>
      <c r="D49" s="29">
        <f>B15</f>
        <v/>
      </c>
      <c r="E49" s="29">
        <f>C49*B9</f>
        <v/>
      </c>
      <c r="F49" s="29">
        <f>C49+D49+E49</f>
        <v/>
      </c>
      <c r="G49" s="29">
        <f>B17</f>
        <v/>
      </c>
    </row>
    <row r="50">
      <c r="A50" s="28">
        <f>YEAR(TODAY())+21</f>
        <v/>
      </c>
      <c r="B50" s="28">
        <f>B5+21</f>
        <v/>
      </c>
      <c r="C50" s="29">
        <f>F49</f>
        <v/>
      </c>
      <c r="D50" s="29">
        <f>B15</f>
        <v/>
      </c>
      <c r="E50" s="29">
        <f>C50*B9</f>
        <v/>
      </c>
      <c r="F50" s="29">
        <f>C50+D50+E50</f>
        <v/>
      </c>
      <c r="G50" s="29">
        <f>B17</f>
        <v/>
      </c>
    </row>
    <row r="51">
      <c r="A51" s="28">
        <f>YEAR(TODAY())+22</f>
        <v/>
      </c>
      <c r="B51" s="28">
        <f>B5+22</f>
        <v/>
      </c>
      <c r="C51" s="29">
        <f>F50</f>
        <v/>
      </c>
      <c r="D51" s="29">
        <f>B15</f>
        <v/>
      </c>
      <c r="E51" s="29">
        <f>C51*B9</f>
        <v/>
      </c>
      <c r="F51" s="29">
        <f>C51+D51+E51</f>
        <v/>
      </c>
      <c r="G51" s="29">
        <f>B17</f>
        <v/>
      </c>
    </row>
    <row r="52">
      <c r="A52" s="28">
        <f>YEAR(TODAY())+23</f>
        <v/>
      </c>
      <c r="B52" s="28">
        <f>B5+23</f>
        <v/>
      </c>
      <c r="C52" s="29">
        <f>F51</f>
        <v/>
      </c>
      <c r="D52" s="29">
        <f>B15</f>
        <v/>
      </c>
      <c r="E52" s="29">
        <f>C52*B9</f>
        <v/>
      </c>
      <c r="F52" s="29">
        <f>C52+D52+E52</f>
        <v/>
      </c>
      <c r="G52" s="29">
        <f>B17</f>
        <v/>
      </c>
    </row>
    <row r="53">
      <c r="A53" s="28">
        <f>YEAR(TODAY())+24</f>
        <v/>
      </c>
      <c r="B53" s="28">
        <f>B5+24</f>
        <v/>
      </c>
      <c r="C53" s="29">
        <f>F52</f>
        <v/>
      </c>
      <c r="D53" s="29">
        <f>B15</f>
        <v/>
      </c>
      <c r="E53" s="29">
        <f>C53*B9</f>
        <v/>
      </c>
      <c r="F53" s="29">
        <f>C53+D53+E53</f>
        <v/>
      </c>
      <c r="G53" s="29">
        <f>B17</f>
        <v/>
      </c>
    </row>
    <row r="54">
      <c r="A54" s="28">
        <f>YEAR(TODAY())+25</f>
        <v/>
      </c>
      <c r="B54" s="28">
        <f>B5+25</f>
        <v/>
      </c>
      <c r="C54" s="29">
        <f>F53</f>
        <v/>
      </c>
      <c r="D54" s="29">
        <f>B15</f>
        <v/>
      </c>
      <c r="E54" s="29">
        <f>C54*B9</f>
        <v/>
      </c>
      <c r="F54" s="29">
        <f>C54+D54+E54</f>
        <v/>
      </c>
      <c r="G54" s="29">
        <f>B17</f>
        <v/>
      </c>
    </row>
    <row r="55">
      <c r="A55" s="28">
        <f>YEAR(TODAY())+26</f>
        <v/>
      </c>
      <c r="B55" s="28">
        <f>B5+26</f>
        <v/>
      </c>
      <c r="C55" s="29">
        <f>F54</f>
        <v/>
      </c>
      <c r="D55" s="29">
        <f>B15</f>
        <v/>
      </c>
      <c r="E55" s="29">
        <f>C55*B9</f>
        <v/>
      </c>
      <c r="F55" s="29">
        <f>C55+D55+E55</f>
        <v/>
      </c>
      <c r="G55" s="29">
        <f>B17</f>
        <v/>
      </c>
    </row>
    <row r="56">
      <c r="A56" s="28">
        <f>YEAR(TODAY())+27</f>
        <v/>
      </c>
      <c r="B56" s="28">
        <f>B5+27</f>
        <v/>
      </c>
      <c r="C56" s="29">
        <f>F55</f>
        <v/>
      </c>
      <c r="D56" s="29">
        <f>B15</f>
        <v/>
      </c>
      <c r="E56" s="29">
        <f>C56*B9</f>
        <v/>
      </c>
      <c r="F56" s="29">
        <f>C56+D56+E56</f>
        <v/>
      </c>
      <c r="G56" s="29">
        <f>B17</f>
        <v/>
      </c>
    </row>
    <row r="57">
      <c r="A57" s="28">
        <f>YEAR(TODAY())+28</f>
        <v/>
      </c>
      <c r="B57" s="28">
        <f>B5+28</f>
        <v/>
      </c>
      <c r="C57" s="29">
        <f>F56</f>
        <v/>
      </c>
      <c r="D57" s="29">
        <f>B15</f>
        <v/>
      </c>
      <c r="E57" s="29">
        <f>C57*B9</f>
        <v/>
      </c>
      <c r="F57" s="29">
        <f>C57+D57+E57</f>
        <v/>
      </c>
      <c r="G57" s="29">
        <f>B17</f>
        <v/>
      </c>
    </row>
    <row r="58">
      <c r="A58" s="28">
        <f>YEAR(TODAY())+29</f>
        <v/>
      </c>
      <c r="B58" s="28">
        <f>B5+29</f>
        <v/>
      </c>
      <c r="C58" s="29">
        <f>F57</f>
        <v/>
      </c>
      <c r="D58" s="29">
        <f>B15</f>
        <v/>
      </c>
      <c r="E58" s="29">
        <f>C58*B9</f>
        <v/>
      </c>
      <c r="F58" s="29">
        <f>C58+D58+E58</f>
        <v/>
      </c>
      <c r="G58" s="29">
        <f>B17</f>
        <v/>
      </c>
    </row>
    <row r="59">
      <c r="A59" s="28">
        <f>YEAR(TODAY())+30</f>
        <v/>
      </c>
      <c r="B59" s="28">
        <f>B5+30</f>
        <v/>
      </c>
      <c r="C59" s="29">
        <f>F58</f>
        <v/>
      </c>
      <c r="D59" s="29">
        <f>B15</f>
        <v/>
      </c>
      <c r="E59" s="29">
        <f>C59*B9</f>
        <v/>
      </c>
      <c r="F59" s="29">
        <f>C59+D59+E59</f>
        <v/>
      </c>
      <c r="G59" s="29">
        <f>B17</f>
        <v/>
      </c>
    </row>
    <row r="60">
      <c r="A60" s="28">
        <f>YEAR(TODAY())+31</f>
        <v/>
      </c>
      <c r="B60" s="28">
        <f>B5+31</f>
        <v/>
      </c>
      <c r="C60" s="29">
        <f>F59</f>
        <v/>
      </c>
      <c r="D60" s="29">
        <f>B15</f>
        <v/>
      </c>
      <c r="E60" s="29">
        <f>C60*B9</f>
        <v/>
      </c>
      <c r="F60" s="29">
        <f>C60+D60+E60</f>
        <v/>
      </c>
      <c r="G60" s="29">
        <f>B17</f>
        <v/>
      </c>
    </row>
    <row r="61">
      <c r="A61" s="28">
        <f>YEAR(TODAY())+32</f>
        <v/>
      </c>
      <c r="B61" s="28">
        <f>B5+32</f>
        <v/>
      </c>
      <c r="C61" s="29">
        <f>F60</f>
        <v/>
      </c>
      <c r="D61" s="29">
        <f>B15</f>
        <v/>
      </c>
      <c r="E61" s="29">
        <f>C61*B9</f>
        <v/>
      </c>
      <c r="F61" s="29">
        <f>C61+D61+E61</f>
        <v/>
      </c>
      <c r="G61" s="29">
        <f>B17</f>
        <v/>
      </c>
    </row>
    <row r="62">
      <c r="A62" s="28">
        <f>YEAR(TODAY())+33</f>
        <v/>
      </c>
      <c r="B62" s="28">
        <f>B5+33</f>
        <v/>
      </c>
      <c r="C62" s="29">
        <f>F61</f>
        <v/>
      </c>
      <c r="D62" s="29">
        <f>B15</f>
        <v/>
      </c>
      <c r="E62" s="29">
        <f>C62*B9</f>
        <v/>
      </c>
      <c r="F62" s="29">
        <f>C62+D62+E62</f>
        <v/>
      </c>
      <c r="G62" s="29">
        <f>B17</f>
        <v/>
      </c>
    </row>
    <row r="63">
      <c r="A63" s="28">
        <f>YEAR(TODAY())+34</f>
        <v/>
      </c>
      <c r="B63" s="28">
        <f>B5+34</f>
        <v/>
      </c>
      <c r="C63" s="29">
        <f>F62</f>
        <v/>
      </c>
      <c r="D63" s="29">
        <f>B15</f>
        <v/>
      </c>
      <c r="E63" s="29">
        <f>C63*B9</f>
        <v/>
      </c>
      <c r="F63" s="29">
        <f>C63+D63+E63</f>
        <v/>
      </c>
      <c r="G63" s="29">
        <f>B17</f>
        <v/>
      </c>
    </row>
    <row r="64">
      <c r="A64" s="28">
        <f>YEAR(TODAY())+35</f>
        <v/>
      </c>
      <c r="B64" s="28">
        <f>B5+35</f>
        <v/>
      </c>
      <c r="C64" s="29">
        <f>F63</f>
        <v/>
      </c>
      <c r="D64" s="29">
        <f>B15</f>
        <v/>
      </c>
      <c r="E64" s="29">
        <f>C64*B9</f>
        <v/>
      </c>
      <c r="F64" s="29">
        <f>C64+D64+E64</f>
        <v/>
      </c>
      <c r="G64" s="29">
        <f>B17</f>
        <v/>
      </c>
    </row>
    <row r="65">
      <c r="A65" s="28">
        <f>YEAR(TODAY())+36</f>
        <v/>
      </c>
      <c r="B65" s="28">
        <f>B5+36</f>
        <v/>
      </c>
      <c r="C65" s="29">
        <f>F64</f>
        <v/>
      </c>
      <c r="D65" s="29">
        <f>B15</f>
        <v/>
      </c>
      <c r="E65" s="29">
        <f>C65*B9</f>
        <v/>
      </c>
      <c r="F65" s="29">
        <f>C65+D65+E65</f>
        <v/>
      </c>
      <c r="G65" s="29">
        <f>B17</f>
        <v/>
      </c>
    </row>
    <row r="66">
      <c r="A66" s="28">
        <f>YEAR(TODAY())+37</f>
        <v/>
      </c>
      <c r="B66" s="28">
        <f>B5+37</f>
        <v/>
      </c>
      <c r="C66" s="29">
        <f>F65</f>
        <v/>
      </c>
      <c r="D66" s="29">
        <f>B15</f>
        <v/>
      </c>
      <c r="E66" s="29">
        <f>C66*B9</f>
        <v/>
      </c>
      <c r="F66" s="29">
        <f>C66+D66+E66</f>
        <v/>
      </c>
      <c r="G66" s="29">
        <f>B17</f>
        <v/>
      </c>
    </row>
    <row r="67">
      <c r="A67" s="28">
        <f>YEAR(TODAY())+38</f>
        <v/>
      </c>
      <c r="B67" s="28">
        <f>B5+38</f>
        <v/>
      </c>
      <c r="C67" s="29">
        <f>F66</f>
        <v/>
      </c>
      <c r="D67" s="29">
        <f>B15</f>
        <v/>
      </c>
      <c r="E67" s="29">
        <f>C67*B9</f>
        <v/>
      </c>
      <c r="F67" s="29">
        <f>C67+D67+E67</f>
        <v/>
      </c>
      <c r="G67" s="29">
        <f>B17</f>
        <v/>
      </c>
    </row>
    <row r="68">
      <c r="A68" s="28">
        <f>YEAR(TODAY())+39</f>
        <v/>
      </c>
      <c r="B68" s="28">
        <f>B5+39</f>
        <v/>
      </c>
      <c r="C68" s="29">
        <f>F67</f>
        <v/>
      </c>
      <c r="D68" s="29">
        <f>B15</f>
        <v/>
      </c>
      <c r="E68" s="29">
        <f>C68*B9</f>
        <v/>
      </c>
      <c r="F68" s="29">
        <f>C68+D68+E68</f>
        <v/>
      </c>
      <c r="G68" s="29">
        <f>B17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2026-07-25T01:10:07Z</dcterms:created>
  <dcterms:modified xsi:type="dcterms:W3CDTF">2026-07-25T01:10:07Z</dcterms:modified>
</cp:coreProperties>
</file>